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70" windowWidth="18945" windowHeight="13545" activeTab="0"/>
  </bookViews>
  <sheets>
    <sheet name="Bordereaux" sheetId="1" r:id="rId1"/>
  </sheets>
  <definedNames>
    <definedName name="Actions">'Bordereaux'!$A$1</definedName>
    <definedName name="Obligations">'Bordereaux'!$A$22</definedName>
    <definedName name="Tarif">'Bordereaux'!$L$19:$N$29</definedName>
  </definedNames>
  <calcPr fullCalcOnLoad="1"/>
</workbook>
</file>

<file path=xl/sharedStrings.xml><?xml version="1.0" encoding="utf-8"?>
<sst xmlns="http://schemas.openxmlformats.org/spreadsheetml/2006/main" count="43" uniqueCount="28">
  <si>
    <t>de</t>
  </si>
  <si>
    <t xml:space="preserve"> de valeur nominale</t>
  </si>
  <si>
    <t>au cours de</t>
  </si>
  <si>
    <t>Non-libéré</t>
  </si>
  <si>
    <t>%</t>
  </si>
  <si>
    <t xml:space="preserve">Valeur effective : </t>
  </si>
  <si>
    <t>Frais:</t>
  </si>
  <si>
    <t>Courtage</t>
  </si>
  <si>
    <t>o/o  sur</t>
  </si>
  <si>
    <t>Timbre fédéral</t>
  </si>
  <si>
    <t>o/oo sur</t>
  </si>
  <si>
    <t>Taxe de bourse</t>
  </si>
  <si>
    <t>Valeur</t>
  </si>
  <si>
    <t>vente</t>
  </si>
  <si>
    <t>achat</t>
  </si>
  <si>
    <t xml:space="preserve">% </t>
  </si>
  <si>
    <t>Intérêt couru</t>
  </si>
  <si>
    <t>pdt</t>
  </si>
  <si>
    <t>jours</t>
  </si>
  <si>
    <t>Zurich</t>
  </si>
  <si>
    <t>CHF</t>
  </si>
  <si>
    <t>Action</t>
  </si>
  <si>
    <t>Oblig.</t>
  </si>
  <si>
    <t>Zürich</t>
  </si>
  <si>
    <t>Echéance :</t>
  </si>
  <si>
    <t>Ville de Lausanne</t>
  </si>
  <si>
    <t>portable</t>
  </si>
  <si>
    <t>Nestlé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</si>
</sst>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\ mmmm\ yyyy"/>
    <numFmt numFmtId="171" formatCode="#,##0.\-"/>
    <numFmt numFmtId="172" formatCode="mmm/yyyy"/>
    <numFmt numFmtId="173" formatCode="dd/mm/yy"/>
    <numFmt numFmtId="174" formatCode="#,##0.000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" fontId="6" fillId="2" borderId="1" xfId="0" applyNumberFormat="1" applyFont="1" applyFill="1" applyBorder="1" applyAlignment="1" quotePrefix="1">
      <alignment/>
    </xf>
    <xf numFmtId="4" fontId="0" fillId="2" borderId="3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0" fillId="5" borderId="2" xfId="0" applyNumberFormat="1" applyFont="1" applyFill="1" applyBorder="1" applyAlignment="1">
      <alignment/>
    </xf>
    <xf numFmtId="4" fontId="6" fillId="5" borderId="2" xfId="0" applyNumberFormat="1" applyFont="1" applyFill="1" applyBorder="1" applyAlignment="1">
      <alignment/>
    </xf>
    <xf numFmtId="4" fontId="6" fillId="5" borderId="3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4" fontId="7" fillId="5" borderId="6" xfId="0" applyNumberFormat="1" applyFont="1" applyFill="1" applyBorder="1" applyAlignment="1">
      <alignment/>
    </xf>
    <xf numFmtId="4" fontId="6" fillId="5" borderId="4" xfId="0" applyNumberFormat="1" applyFont="1" applyFill="1" applyBorder="1" applyAlignment="1">
      <alignment/>
    </xf>
    <xf numFmtId="0" fontId="5" fillId="6" borderId="0" xfId="0" applyFont="1" applyFill="1" applyAlignment="1" applyProtection="1">
      <alignment/>
      <protection locked="0"/>
    </xf>
    <xf numFmtId="14" fontId="5" fillId="6" borderId="0" xfId="0" applyNumberFormat="1" applyFont="1" applyFill="1" applyAlignment="1" applyProtection="1">
      <alignment/>
      <protection locked="0"/>
    </xf>
    <xf numFmtId="0" fontId="5" fillId="7" borderId="0" xfId="0" applyFont="1" applyFill="1" applyAlignment="1" applyProtection="1">
      <alignment/>
      <protection locked="0"/>
    </xf>
    <xf numFmtId="14" fontId="5" fillId="7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/>
      <protection locked="0"/>
    </xf>
    <xf numFmtId="4" fontId="6" fillId="5" borderId="3" xfId="0" applyNumberFormat="1" applyFont="1" applyFill="1" applyBorder="1" applyAlignment="1" applyProtection="1">
      <alignment/>
      <protection locked="0"/>
    </xf>
    <xf numFmtId="4" fontId="6" fillId="2" borderId="2" xfId="0" applyNumberFormat="1" applyFont="1" applyFill="1" applyBorder="1" applyAlignment="1" applyProtection="1">
      <alignment/>
      <protection/>
    </xf>
    <xf numFmtId="4" fontId="6" fillId="5" borderId="2" xfId="0" applyNumberFormat="1" applyFont="1" applyFill="1" applyBorder="1" applyAlignment="1" applyProtection="1">
      <alignment/>
      <protection/>
    </xf>
    <xf numFmtId="4" fontId="6" fillId="5" borderId="2" xfId="0" applyNumberFormat="1" applyFont="1" applyFill="1" applyBorder="1" applyAlignment="1" applyProtection="1">
      <alignment/>
      <protection locked="0"/>
    </xf>
    <xf numFmtId="4" fontId="6" fillId="2" borderId="2" xfId="0" applyNumberFormat="1" applyFon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9" borderId="0" xfId="0" applyFill="1" applyAlignment="1">
      <alignment/>
    </xf>
    <xf numFmtId="0" fontId="0" fillId="0" borderId="0" xfId="0" applyFont="1" applyAlignment="1">
      <alignment horizontal="center"/>
    </xf>
    <xf numFmtId="4" fontId="7" fillId="2" borderId="6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6" fillId="2" borderId="7" xfId="0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9" fillId="6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4" fontId="6" fillId="2" borderId="9" xfId="0" applyNumberFormat="1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9" fillId="7" borderId="0" xfId="0" applyFont="1" applyFill="1" applyBorder="1" applyAlignment="1" applyProtection="1">
      <alignment/>
      <protection locked="0"/>
    </xf>
    <xf numFmtId="0" fontId="6" fillId="5" borderId="2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4" fontId="6" fillId="5" borderId="6" xfId="0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5" borderId="0" xfId="0" applyFont="1" applyFill="1" applyBorder="1" applyAlignment="1" applyProtection="1">
      <alignment/>
      <protection locked="0"/>
    </xf>
    <xf numFmtId="0" fontId="6" fillId="5" borderId="0" xfId="0" applyFont="1" applyFill="1" applyBorder="1" applyAlignment="1" applyProtection="1">
      <alignment/>
      <protection locked="0"/>
    </xf>
    <xf numFmtId="4" fontId="6" fillId="5" borderId="6" xfId="0" applyNumberFormat="1" applyFont="1" applyFill="1" applyBorder="1" applyAlignment="1" applyProtection="1">
      <alignment/>
      <protection locked="0"/>
    </xf>
    <xf numFmtId="0" fontId="6" fillId="5" borderId="8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14" fontId="6" fillId="5" borderId="9" xfId="0" applyNumberFormat="1" applyFont="1" applyFill="1" applyBorder="1" applyAlignment="1">
      <alignment/>
    </xf>
    <xf numFmtId="4" fontId="0" fillId="5" borderId="0" xfId="0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9" fillId="6" borderId="11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right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7" borderId="11" xfId="0" applyFont="1" applyFill="1" applyBorder="1" applyAlignment="1" applyProtection="1">
      <alignment horizontal="center"/>
      <protection locked="0"/>
    </xf>
    <xf numFmtId="2" fontId="9" fillId="7" borderId="0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4" fontId="6" fillId="6" borderId="0" xfId="0" applyNumberFormat="1" applyFont="1" applyFill="1" applyBorder="1" applyAlignment="1" applyProtection="1">
      <alignment horizontal="center"/>
      <protection locked="0"/>
    </xf>
    <xf numFmtId="12" fontId="9" fillId="7" borderId="7" xfId="0" applyNumberFormat="1" applyFont="1" applyFill="1" applyBorder="1" applyAlignment="1" applyProtection="1">
      <alignment horizontal="center"/>
      <protection locked="0"/>
    </xf>
    <xf numFmtId="4" fontId="0" fillId="7" borderId="2" xfId="0" applyNumberFormat="1" applyFont="1" applyFill="1" applyBorder="1" applyAlignment="1" applyProtection="1">
      <alignment/>
      <protection locked="0"/>
    </xf>
    <xf numFmtId="22" fontId="0" fillId="0" borderId="0" xfId="0" applyNumberFormat="1" applyAlignment="1">
      <alignment/>
    </xf>
    <xf numFmtId="0" fontId="6" fillId="2" borderId="9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right"/>
    </xf>
    <xf numFmtId="14" fontId="9" fillId="7" borderId="0" xfId="0" applyNumberFormat="1" applyFont="1" applyFill="1" applyBorder="1" applyAlignment="1" applyProtection="1">
      <alignment horizontal="left"/>
      <protection locked="0"/>
    </xf>
    <xf numFmtId="0" fontId="9" fillId="7" borderId="6" xfId="0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333375</xdr:rowOff>
    </xdr:from>
    <xdr:to>
      <xdr:col>10</xdr:col>
      <xdr:colOff>9525</xdr:colOff>
      <xdr:row>2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33375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361950</xdr:rowOff>
    </xdr:from>
    <xdr:to>
      <xdr:col>10</xdr:col>
      <xdr:colOff>314325</xdr:colOff>
      <xdr:row>21</xdr:row>
      <xdr:rowOff>228600</xdr:rowOff>
    </xdr:to>
    <xdr:sp>
      <xdr:nvSpPr>
        <xdr:cNvPr id="2" name="Rectangle 11"/>
        <xdr:cNvSpPr>
          <a:spLocks/>
        </xdr:cNvSpPr>
      </xdr:nvSpPr>
      <xdr:spPr>
        <a:xfrm>
          <a:off x="485775" y="361950"/>
          <a:ext cx="71437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361950</xdr:rowOff>
    </xdr:from>
    <xdr:to>
      <xdr:col>10</xdr:col>
      <xdr:colOff>323850</xdr:colOff>
      <xdr:row>21</xdr:row>
      <xdr:rowOff>228600</xdr:rowOff>
    </xdr:to>
    <xdr:sp>
      <xdr:nvSpPr>
        <xdr:cNvPr id="3" name="Rectangle 13"/>
        <xdr:cNvSpPr>
          <a:spLocks/>
        </xdr:cNvSpPr>
      </xdr:nvSpPr>
      <xdr:spPr>
        <a:xfrm>
          <a:off x="495300" y="361950"/>
          <a:ext cx="714375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T191"/>
  <sheetViews>
    <sheetView showGridLines="0" showRowColHeaders="0" showZeros="0" tabSelected="1" zoomScale="120" zoomScaleNormal="120" workbookViewId="0" topLeftCell="A1">
      <selection activeCell="U1" sqref="U1"/>
    </sheetView>
  </sheetViews>
  <sheetFormatPr defaultColWidth="11.421875" defaultRowHeight="12.75"/>
  <cols>
    <col min="1" max="1" width="9.8515625" style="0" customWidth="1"/>
    <col min="2" max="2" width="7.140625" style="0" customWidth="1"/>
    <col min="3" max="3" width="9.7109375" style="0" customWidth="1"/>
    <col min="4" max="4" width="13.8515625" style="0" customWidth="1"/>
    <col min="5" max="5" width="10.8515625" style="0" customWidth="1"/>
    <col min="7" max="7" width="8.421875" style="0" customWidth="1"/>
    <col min="8" max="8" width="12.140625" style="0" customWidth="1"/>
    <col min="9" max="9" width="13.00390625" style="0" customWidth="1"/>
    <col min="10" max="10" width="13.28125" style="0" customWidth="1"/>
    <col min="12" max="18" width="11.421875" style="0" hidden="1" customWidth="1"/>
    <col min="19" max="19" width="0" style="0" hidden="1" customWidth="1"/>
  </cols>
  <sheetData>
    <row r="1" ht="33" customHeight="1"/>
    <row r="2" spans="2:10" ht="18">
      <c r="B2" s="20" t="str">
        <f>IF(N6=1,"Bordereau d'achat d'actions","Bordereau de vente d'actions")</f>
        <v>Bordereau d'achat d'actions</v>
      </c>
      <c r="C2" s="21"/>
      <c r="D2" s="21"/>
      <c r="E2" s="21"/>
      <c r="F2" s="21"/>
      <c r="G2" s="21"/>
      <c r="H2" s="21"/>
      <c r="I2" s="21"/>
      <c r="J2" s="21"/>
    </row>
    <row r="3" ht="6.75" customHeight="1"/>
    <row r="4" spans="4:10" ht="13.5" customHeight="1">
      <c r="D4" s="1"/>
      <c r="E4" s="1"/>
      <c r="F4" s="1"/>
      <c r="G4" s="1"/>
      <c r="H4" s="31" t="s">
        <v>23</v>
      </c>
      <c r="I4" s="31"/>
      <c r="J4" s="32">
        <v>37641</v>
      </c>
    </row>
    <row r="5" spans="2:10" ht="3" customHeight="1">
      <c r="B5" s="1"/>
      <c r="C5" s="1"/>
      <c r="D5" s="1"/>
      <c r="E5" s="1"/>
      <c r="F5" s="1"/>
      <c r="G5" s="1"/>
      <c r="H5" s="1"/>
      <c r="I5" s="1"/>
      <c r="J5" s="1"/>
    </row>
    <row r="6" spans="2:14" ht="12.75">
      <c r="B6" s="79">
        <v>1</v>
      </c>
      <c r="C6" s="49" t="str">
        <f>IF(B6&gt;1,"actions","action")</f>
        <v>action</v>
      </c>
      <c r="D6" s="49"/>
      <c r="E6" s="80" t="s">
        <v>26</v>
      </c>
      <c r="F6" s="49"/>
      <c r="G6" s="49"/>
      <c r="H6" s="50"/>
      <c r="I6" s="6"/>
      <c r="J6" s="7"/>
      <c r="L6" t="str">
        <f>IF(LEFT(E6,3)="nom","nom","por")</f>
        <v>por</v>
      </c>
      <c r="M6" t="s">
        <v>14</v>
      </c>
      <c r="N6" s="35">
        <v>1</v>
      </c>
    </row>
    <row r="7" spans="2:14" ht="12.75">
      <c r="B7" s="51"/>
      <c r="C7" s="83" t="s">
        <v>27</v>
      </c>
      <c r="D7" s="83"/>
      <c r="E7" s="83"/>
      <c r="F7" s="83"/>
      <c r="G7" s="87"/>
      <c r="H7" s="88"/>
      <c r="I7" s="8"/>
      <c r="J7" s="9"/>
      <c r="M7" t="s">
        <v>13</v>
      </c>
      <c r="N7" s="35">
        <v>2</v>
      </c>
    </row>
    <row r="8" spans="2:10" ht="12.75">
      <c r="B8" s="51"/>
      <c r="C8" s="53" t="s">
        <v>0</v>
      </c>
      <c r="D8" s="52" t="s">
        <v>20</v>
      </c>
      <c r="E8" s="82">
        <v>10</v>
      </c>
      <c r="F8" s="53" t="s">
        <v>1</v>
      </c>
      <c r="G8" s="53"/>
      <c r="H8" s="54"/>
      <c r="I8" s="8">
        <f>B6*E8</f>
        <v>10</v>
      </c>
      <c r="J8" s="9"/>
    </row>
    <row r="9" spans="2:14" ht="12.75">
      <c r="B9" s="51"/>
      <c r="C9" s="53"/>
      <c r="D9" s="53"/>
      <c r="E9" s="53"/>
      <c r="F9" s="53"/>
      <c r="G9" s="53"/>
      <c r="H9" s="54"/>
      <c r="I9" s="8"/>
      <c r="J9" s="9"/>
      <c r="N9" s="2"/>
    </row>
    <row r="10" spans="2:10" ht="12.75">
      <c r="B10" s="51"/>
      <c r="C10" s="53" t="s">
        <v>2</v>
      </c>
      <c r="D10" s="53"/>
      <c r="E10" s="53"/>
      <c r="F10" s="81">
        <v>300</v>
      </c>
      <c r="G10" s="53"/>
      <c r="H10" s="54"/>
      <c r="I10" s="8"/>
      <c r="J10" s="9">
        <f>F10*B6</f>
        <v>300</v>
      </c>
    </row>
    <row r="11" spans="2:10" ht="12.75">
      <c r="B11" s="51"/>
      <c r="C11" s="53" t="s">
        <v>3</v>
      </c>
      <c r="D11" s="53"/>
      <c r="E11" s="53"/>
      <c r="F11" s="83"/>
      <c r="G11" s="53" t="s">
        <v>4</v>
      </c>
      <c r="H11" s="54"/>
      <c r="I11" s="8"/>
      <c r="J11" s="10">
        <f>(E8/100*F11)*B6</f>
        <v>0</v>
      </c>
    </row>
    <row r="12" spans="2:10" ht="6.75" customHeight="1">
      <c r="B12" s="51"/>
      <c r="C12" s="53"/>
      <c r="D12" s="53"/>
      <c r="E12" s="53"/>
      <c r="F12" s="53"/>
      <c r="G12" s="53"/>
      <c r="H12" s="54"/>
      <c r="I12" s="8"/>
      <c r="J12" s="11"/>
    </row>
    <row r="13" spans="2:10" ht="10.5" customHeight="1">
      <c r="B13" s="51"/>
      <c r="C13" s="53" t="s">
        <v>5</v>
      </c>
      <c r="D13" s="53"/>
      <c r="E13" s="53"/>
      <c r="F13" s="53"/>
      <c r="G13" s="53"/>
      <c r="H13" s="54"/>
      <c r="I13" s="8"/>
      <c r="J13" s="9">
        <f>J10-J11</f>
        <v>300</v>
      </c>
    </row>
    <row r="14" spans="2:10" ht="6" customHeight="1">
      <c r="B14" s="51"/>
      <c r="C14" s="53"/>
      <c r="D14" s="53"/>
      <c r="E14" s="53"/>
      <c r="F14" s="53"/>
      <c r="G14" s="53"/>
      <c r="H14" s="54"/>
      <c r="I14" s="8"/>
      <c r="J14" s="9"/>
    </row>
    <row r="15" spans="2:10" ht="15.75">
      <c r="B15" s="14" t="str">
        <f>IF(N6=1,"+","-")</f>
        <v>+</v>
      </c>
      <c r="C15" s="53" t="s">
        <v>6</v>
      </c>
      <c r="D15" s="53"/>
      <c r="E15" s="53"/>
      <c r="F15" s="53"/>
      <c r="G15" s="53"/>
      <c r="H15" s="54"/>
      <c r="I15" s="8"/>
      <c r="J15" s="9"/>
    </row>
    <row r="16" spans="2:18" ht="12.75">
      <c r="B16" s="51"/>
      <c r="C16" s="55" t="s">
        <v>7</v>
      </c>
      <c r="D16" s="55"/>
      <c r="E16" s="55"/>
      <c r="F16" s="77">
        <f>O16</f>
        <v>1.1</v>
      </c>
      <c r="G16" s="36" t="s">
        <v>8</v>
      </c>
      <c r="H16" s="78">
        <f>P16</f>
        <v>300</v>
      </c>
      <c r="I16" s="76">
        <f>Q16</f>
        <v>80</v>
      </c>
      <c r="J16" s="39"/>
      <c r="L16">
        <f>P16/100*O16</f>
        <v>3.3000000000000003</v>
      </c>
      <c r="M16">
        <f>IF(AND((J13&lt;100),(L16&lt;5)),5,IF(L16&lt;10,10,L16))</f>
        <v>10</v>
      </c>
      <c r="O16" s="18">
        <f>VLOOKUP(J10,Tarif,$M$18)</f>
        <v>1.1</v>
      </c>
      <c r="P16" s="19">
        <f>J10</f>
        <v>300</v>
      </c>
      <c r="Q16" s="8">
        <f>IF(R16&gt;80,R16,80)</f>
        <v>80</v>
      </c>
      <c r="R16" s="48">
        <f>ROUND(P16*O16/100*2,1)/2</f>
        <v>3.3</v>
      </c>
    </row>
    <row r="17" spans="2:17" ht="12.75">
      <c r="B17" s="51"/>
      <c r="C17" s="55" t="s">
        <v>9</v>
      </c>
      <c r="D17" s="55"/>
      <c r="E17" s="55"/>
      <c r="F17" s="77">
        <f>O17</f>
        <v>0.75</v>
      </c>
      <c r="G17" s="36" t="s">
        <v>10</v>
      </c>
      <c r="H17" s="78">
        <f>P17</f>
        <v>300</v>
      </c>
      <c r="I17" s="76">
        <f>Q17</f>
        <v>0.25</v>
      </c>
      <c r="J17" s="39"/>
      <c r="L17">
        <f>P17/1000*O17</f>
        <v>0.22499999999999998</v>
      </c>
      <c r="O17" s="18">
        <f>IF(D8&lt;&gt;"CHF",1.5,0.75)</f>
        <v>0.75</v>
      </c>
      <c r="P17" s="19">
        <f>J13</f>
        <v>300</v>
      </c>
      <c r="Q17" s="8">
        <f>INT(((L17-0.0001)*20)+1)/20</f>
        <v>0.25</v>
      </c>
    </row>
    <row r="18" spans="2:17" ht="12.75">
      <c r="B18" s="51"/>
      <c r="C18" s="55" t="s">
        <v>11</v>
      </c>
      <c r="D18" s="55"/>
      <c r="E18" s="55"/>
      <c r="F18" s="77">
        <f>O18</f>
        <v>0.1</v>
      </c>
      <c r="G18" s="36" t="s">
        <v>10</v>
      </c>
      <c r="H18" s="78">
        <f>P18</f>
        <v>1000</v>
      </c>
      <c r="I18" s="76">
        <f>Q18</f>
        <v>0.1</v>
      </c>
      <c r="J18" s="39"/>
      <c r="L18" t="s">
        <v>21</v>
      </c>
      <c r="M18" s="45">
        <v>2</v>
      </c>
      <c r="O18" s="18">
        <v>0.1</v>
      </c>
      <c r="P18" s="46">
        <f>INT(((J13-0.0001)/1000)+1)*1000</f>
        <v>1000</v>
      </c>
      <c r="Q18" s="8">
        <f>ROUND(P18*O18/1000,1)</f>
        <v>0.1</v>
      </c>
    </row>
    <row r="19" spans="2:17" ht="12.75">
      <c r="B19" s="51"/>
      <c r="C19" s="55">
        <f>IF(L6="nom","Transfert","")</f>
      </c>
      <c r="D19" s="55"/>
      <c r="E19" s="55"/>
      <c r="F19" s="77">
        <f>O19</f>
        <v>0</v>
      </c>
      <c r="G19" s="36">
        <f>IF(L6="nom","fr x",0)</f>
        <v>0</v>
      </c>
      <c r="H19" s="78">
        <f>P19</f>
        <v>0</v>
      </c>
      <c r="I19" s="76">
        <f>Q19</f>
        <v>0</v>
      </c>
      <c r="J19" s="42">
        <f>SUM(I16:I19)</f>
        <v>80.35</v>
      </c>
      <c r="L19" s="44">
        <v>0</v>
      </c>
      <c r="M19" s="44">
        <v>1.1</v>
      </c>
      <c r="N19" s="44">
        <v>0.8</v>
      </c>
      <c r="O19" s="19">
        <f>IF(L6="nom",LOOKUP(F10,L19:L23,M19:M23),0)</f>
        <v>0</v>
      </c>
      <c r="P19" s="19">
        <f>IF(L6="nom",B6,0)</f>
        <v>0</v>
      </c>
      <c r="Q19" s="8">
        <f>O19*P19</f>
        <v>0</v>
      </c>
    </row>
    <row r="20" spans="2:14" ht="10.5" customHeight="1">
      <c r="B20" s="51"/>
      <c r="C20" s="53"/>
      <c r="D20" s="53"/>
      <c r="E20" s="53"/>
      <c r="F20" s="53"/>
      <c r="G20" s="53"/>
      <c r="H20" s="3"/>
      <c r="I20" s="12"/>
      <c r="J20" s="10"/>
      <c r="L20" s="44">
        <v>50001</v>
      </c>
      <c r="M20" s="44">
        <v>1</v>
      </c>
      <c r="N20" s="44">
        <v>0.7</v>
      </c>
    </row>
    <row r="21" spans="2:14" ht="15" customHeight="1">
      <c r="B21" s="56"/>
      <c r="C21" s="57" t="s">
        <v>12</v>
      </c>
      <c r="D21" s="57"/>
      <c r="E21" s="58">
        <f>J4+1</f>
        <v>37642</v>
      </c>
      <c r="F21" s="57"/>
      <c r="G21" s="92" t="str">
        <f>IF(N6=1,"A votre débit","A votre crédit")</f>
        <v>A votre débit</v>
      </c>
      <c r="H21" s="93"/>
      <c r="I21" s="12"/>
      <c r="J21" s="13">
        <f>IF(N6=1,SUM(J13:J19),J13-J19)</f>
        <v>380.35</v>
      </c>
      <c r="L21" s="44">
        <v>100001</v>
      </c>
      <c r="M21" s="44">
        <v>0.9</v>
      </c>
      <c r="N21" s="44">
        <v>0.6</v>
      </c>
    </row>
    <row r="22" spans="2:16" ht="21.75" customHeight="1">
      <c r="B22" s="5"/>
      <c r="C22" s="5"/>
      <c r="D22" s="5"/>
      <c r="E22" s="5"/>
      <c r="F22" s="5"/>
      <c r="G22" s="5"/>
      <c r="H22" s="5"/>
      <c r="I22" s="5"/>
      <c r="J22" s="5"/>
      <c r="L22" s="44">
        <v>150001</v>
      </c>
      <c r="M22" s="44">
        <v>0.8</v>
      </c>
      <c r="N22" s="44">
        <v>0.5</v>
      </c>
      <c r="O22" s="43" t="b">
        <v>1</v>
      </c>
      <c r="P22" s="43" t="b">
        <v>0</v>
      </c>
    </row>
    <row r="23" spans="12:14" ht="1.5" customHeight="1" hidden="1">
      <c r="L23" s="44"/>
      <c r="M23" s="44"/>
      <c r="N23" s="44"/>
    </row>
    <row r="24" spans="12:14" ht="12.75" hidden="1">
      <c r="L24" s="44"/>
      <c r="M24" s="44"/>
      <c r="N24" s="44"/>
    </row>
    <row r="25" spans="12:14" ht="12.75" hidden="1">
      <c r="L25" s="44"/>
      <c r="M25" s="44"/>
      <c r="N25" s="44"/>
    </row>
    <row r="26" spans="2:14" ht="18" customHeight="1" hidden="1">
      <c r="B26" s="15" t="str">
        <f>IF(N7=1,"Bordereau d'achat d'obligations","Bordereau de vente d'obligations")</f>
        <v>Bordereau de vente d'obligations</v>
      </c>
      <c r="C26" s="16"/>
      <c r="D26" s="16"/>
      <c r="E26" s="16"/>
      <c r="F26" s="16"/>
      <c r="G26" s="16"/>
      <c r="H26" s="16"/>
      <c r="I26" s="16"/>
      <c r="J26" s="17"/>
      <c r="L26" s="44">
        <v>200001</v>
      </c>
      <c r="M26" s="44">
        <v>0.7</v>
      </c>
      <c r="N26" s="44">
        <v>0.4</v>
      </c>
    </row>
    <row r="27" spans="8:14" ht="5.25" customHeight="1" hidden="1">
      <c r="H27" s="22"/>
      <c r="I27" s="23"/>
      <c r="J27" s="23"/>
      <c r="L27" s="44">
        <v>250001</v>
      </c>
      <c r="M27" s="44">
        <v>0.5</v>
      </c>
      <c r="N27" s="44">
        <v>0.35</v>
      </c>
    </row>
    <row r="28" spans="4:20" ht="13.5" customHeight="1" hidden="1">
      <c r="D28" s="4"/>
      <c r="E28" s="4"/>
      <c r="F28" s="4"/>
      <c r="G28" s="4"/>
      <c r="H28" s="33" t="s">
        <v>19</v>
      </c>
      <c r="I28" s="33"/>
      <c r="J28" s="34">
        <v>37693</v>
      </c>
      <c r="L28" s="44">
        <v>1000001</v>
      </c>
      <c r="M28" s="44">
        <v>0.2</v>
      </c>
      <c r="N28" s="44">
        <v>0.2</v>
      </c>
      <c r="T28" s="91"/>
    </row>
    <row r="29" spans="2:14" ht="3.75" customHeight="1" hidden="1">
      <c r="B29" s="4"/>
      <c r="C29" s="4"/>
      <c r="D29" s="4"/>
      <c r="E29" s="4"/>
      <c r="F29" s="4"/>
      <c r="G29" s="4"/>
      <c r="H29" s="4"/>
      <c r="I29" s="4"/>
      <c r="J29" s="4"/>
      <c r="L29" s="44"/>
      <c r="M29" s="44"/>
      <c r="N29" s="44"/>
    </row>
    <row r="30" spans="2:13" ht="12.75" hidden="1">
      <c r="B30" s="84">
        <v>5</v>
      </c>
      <c r="C30" s="59" t="str">
        <f>IF(B30&gt;1,"obligations","obligation")</f>
        <v>obligations</v>
      </c>
      <c r="D30" s="59"/>
      <c r="E30" s="59"/>
      <c r="F30" s="89">
        <v>4.5</v>
      </c>
      <c r="G30" s="59" t="s">
        <v>15</v>
      </c>
      <c r="H30" s="60"/>
      <c r="I30" s="61"/>
      <c r="J30" s="61"/>
      <c r="L30" t="s">
        <v>22</v>
      </c>
      <c r="M30">
        <v>3</v>
      </c>
    </row>
    <row r="31" spans="2:10" ht="12.75" hidden="1">
      <c r="B31" s="62"/>
      <c r="C31" s="63" t="s">
        <v>25</v>
      </c>
      <c r="D31" s="63"/>
      <c r="E31" s="86"/>
      <c r="F31" s="69" t="s">
        <v>24</v>
      </c>
      <c r="G31" s="96">
        <v>38153</v>
      </c>
      <c r="H31" s="97"/>
      <c r="I31" s="64"/>
      <c r="J31" s="64"/>
    </row>
    <row r="32" spans="2:10" ht="12.75" hidden="1">
      <c r="B32" s="62"/>
      <c r="C32" s="65" t="s">
        <v>0</v>
      </c>
      <c r="D32" s="63" t="s">
        <v>20</v>
      </c>
      <c r="E32" s="85">
        <v>500</v>
      </c>
      <c r="F32" s="65" t="s">
        <v>1</v>
      </c>
      <c r="G32" s="65"/>
      <c r="H32" s="66"/>
      <c r="I32" s="24">
        <f>B30*E32</f>
        <v>2500</v>
      </c>
      <c r="J32" s="25"/>
    </row>
    <row r="33" spans="2:10" ht="7.5" customHeight="1" hidden="1">
      <c r="B33" s="62"/>
      <c r="C33" s="65"/>
      <c r="D33" s="65"/>
      <c r="E33" s="65"/>
      <c r="F33" s="65"/>
      <c r="G33" s="65"/>
      <c r="H33" s="66"/>
      <c r="I33" s="24"/>
      <c r="J33" s="25"/>
    </row>
    <row r="34" spans="2:12" ht="12.75" hidden="1">
      <c r="B34" s="62"/>
      <c r="C34" s="65" t="s">
        <v>2</v>
      </c>
      <c r="D34" s="65"/>
      <c r="E34" s="65"/>
      <c r="F34" s="63">
        <v>102.5</v>
      </c>
      <c r="G34" s="65" t="s">
        <v>4</v>
      </c>
      <c r="H34" s="66"/>
      <c r="I34" s="24"/>
      <c r="J34" s="25">
        <f>I32*F34/100</f>
        <v>2562.5</v>
      </c>
      <c r="L34">
        <f>DAYS360(G31,J28)</f>
        <v>-452</v>
      </c>
    </row>
    <row r="35" spans="2:10" ht="12.75" hidden="1">
      <c r="B35" s="62"/>
      <c r="C35" s="65" t="s">
        <v>16</v>
      </c>
      <c r="D35" s="65"/>
      <c r="E35" s="65"/>
      <c r="F35" s="65" t="s">
        <v>17</v>
      </c>
      <c r="G35" s="63">
        <f>MOD(L34,360)</f>
        <v>268</v>
      </c>
      <c r="H35" s="66" t="s">
        <v>18</v>
      </c>
      <c r="I35" s="24"/>
      <c r="J35" s="26">
        <f>ROUND(I32*F30*G35/36000*2,1)/2</f>
        <v>83.75</v>
      </c>
    </row>
    <row r="36" spans="2:10" ht="6" customHeight="1" hidden="1">
      <c r="B36" s="62"/>
      <c r="C36" s="65"/>
      <c r="D36" s="65"/>
      <c r="E36" s="65"/>
      <c r="F36" s="65"/>
      <c r="G36" s="65"/>
      <c r="H36" s="66"/>
      <c r="I36" s="24"/>
      <c r="J36" s="25"/>
    </row>
    <row r="37" spans="2:10" ht="12.75" hidden="1">
      <c r="B37" s="62"/>
      <c r="C37" s="65" t="s">
        <v>5</v>
      </c>
      <c r="D37" s="65"/>
      <c r="E37" s="65"/>
      <c r="F37" s="65"/>
      <c r="G37" s="65"/>
      <c r="H37" s="66"/>
      <c r="I37" s="24"/>
      <c r="J37" s="25">
        <f>SUM(J34:J35)</f>
        <v>2646.25</v>
      </c>
    </row>
    <row r="38" spans="2:10" ht="6" customHeight="1" hidden="1">
      <c r="B38" s="62"/>
      <c r="C38" s="65"/>
      <c r="D38" s="65"/>
      <c r="E38" s="65"/>
      <c r="F38" s="65"/>
      <c r="G38" s="65"/>
      <c r="H38" s="66"/>
      <c r="I38" s="24"/>
      <c r="J38" s="25"/>
    </row>
    <row r="39" spans="2:10" ht="15.75" hidden="1">
      <c r="B39" s="27" t="str">
        <f>IF(N7=1,"+","-")</f>
        <v>-</v>
      </c>
      <c r="C39" s="65" t="s">
        <v>6</v>
      </c>
      <c r="D39" s="65"/>
      <c r="E39" s="65"/>
      <c r="F39" s="65"/>
      <c r="G39" s="65"/>
      <c r="H39" s="66"/>
      <c r="I39" s="24"/>
      <c r="J39" s="25"/>
    </row>
    <row r="40" spans="2:18" ht="12.75" hidden="1">
      <c r="B40" s="62"/>
      <c r="C40" s="67" t="s">
        <v>7</v>
      </c>
      <c r="D40" s="67"/>
      <c r="E40" s="67"/>
      <c r="F40" s="75"/>
      <c r="G40" s="37" t="s">
        <v>8</v>
      </c>
      <c r="H40" s="74"/>
      <c r="I40" s="90"/>
      <c r="J40" s="40"/>
      <c r="L40">
        <f>P40/100*O40</f>
        <v>21.17</v>
      </c>
      <c r="M40">
        <f>IF(AND((J37&lt;100),(L40&lt;5)),5,IF(L40&lt;10,10,L40))</f>
        <v>21.17</v>
      </c>
      <c r="O40" s="28">
        <f>VLOOKUP(J37,Tarif,$M$30)</f>
        <v>0.8</v>
      </c>
      <c r="P40" s="29">
        <f>J37</f>
        <v>2646.25</v>
      </c>
      <c r="Q40" s="24">
        <f>IF(R40&gt;80,R40,80)</f>
        <v>80</v>
      </c>
      <c r="R40" s="47">
        <f>ROUND(P40*O40/100*2,1)/2</f>
        <v>21.15</v>
      </c>
    </row>
    <row r="41" spans="2:17" ht="12.75" hidden="1">
      <c r="B41" s="62"/>
      <c r="C41" s="67" t="s">
        <v>9</v>
      </c>
      <c r="D41" s="67"/>
      <c r="E41" s="67"/>
      <c r="F41" s="75"/>
      <c r="G41" s="37" t="s">
        <v>10</v>
      </c>
      <c r="H41" s="74"/>
      <c r="I41" s="90"/>
      <c r="J41" s="40"/>
      <c r="L41">
        <f>P41/1000*O41</f>
        <v>1.9846875000000002</v>
      </c>
      <c r="O41" s="28">
        <f>IF(D32&lt;&gt;"CHF",1.5,0.75)</f>
        <v>0.75</v>
      </c>
      <c r="P41" s="29">
        <f>J37</f>
        <v>2646.25</v>
      </c>
      <c r="Q41" s="24">
        <f>INT(((L41-0.0001)*20)+1)/20</f>
        <v>2</v>
      </c>
    </row>
    <row r="42" spans="2:17" ht="12.75" hidden="1">
      <c r="B42" s="62"/>
      <c r="C42" s="67" t="s">
        <v>11</v>
      </c>
      <c r="D42" s="67"/>
      <c r="E42" s="67"/>
      <c r="F42" s="75"/>
      <c r="G42" s="37" t="s">
        <v>10</v>
      </c>
      <c r="H42" s="74"/>
      <c r="I42" s="90"/>
      <c r="J42" s="40"/>
      <c r="O42" s="28">
        <v>0.1</v>
      </c>
      <c r="P42" s="29">
        <f>INT(((J37-0.0001)/1000)+1)*1000</f>
        <v>3000</v>
      </c>
      <c r="Q42" s="24">
        <f>P42*O42/1000</f>
        <v>0.3</v>
      </c>
    </row>
    <row r="43" spans="2:17" ht="12.75" hidden="1">
      <c r="B43" s="62"/>
      <c r="C43" s="67">
        <f>IF(L30="nom","Transfert","")</f>
      </c>
      <c r="D43" s="67"/>
      <c r="E43" s="67"/>
      <c r="F43" s="75"/>
      <c r="G43" s="68"/>
      <c r="H43" s="74"/>
      <c r="I43" s="90">
        <v>80</v>
      </c>
      <c r="J43" s="41">
        <f>SUM(I40:I43)</f>
        <v>80</v>
      </c>
      <c r="L43">
        <v>0</v>
      </c>
      <c r="M43">
        <v>0.05</v>
      </c>
      <c r="O43" s="29"/>
      <c r="P43" s="29"/>
      <c r="Q43" s="24"/>
    </row>
    <row r="44" spans="2:13" ht="7.5" customHeight="1" hidden="1">
      <c r="B44" s="62"/>
      <c r="C44" s="65"/>
      <c r="D44" s="65"/>
      <c r="E44" s="65"/>
      <c r="F44" s="69"/>
      <c r="G44" s="69"/>
      <c r="H44" s="70"/>
      <c r="I44" s="38"/>
      <c r="J44" s="38"/>
      <c r="L44">
        <v>50</v>
      </c>
      <c r="M44">
        <v>0.1</v>
      </c>
    </row>
    <row r="45" spans="2:13" ht="12.75" hidden="1">
      <c r="B45" s="71"/>
      <c r="C45" s="72" t="s">
        <v>12</v>
      </c>
      <c r="D45" s="72"/>
      <c r="E45" s="73">
        <f>J28+1</f>
        <v>37694</v>
      </c>
      <c r="F45" s="72"/>
      <c r="G45" s="94" t="str">
        <f>IF(N7=1,"A votre débit","A votre crédit")</f>
        <v>A votre crédit</v>
      </c>
      <c r="H45" s="95"/>
      <c r="I45" s="30"/>
      <c r="J45" s="30">
        <f>IF(N7=1,SUM(J37:J43),J37-J43)</f>
        <v>2566.25</v>
      </c>
      <c r="L45">
        <v>100</v>
      </c>
      <c r="M45">
        <v>0.5</v>
      </c>
    </row>
    <row r="46" spans="2:16" ht="12.75" hidden="1">
      <c r="B46" s="5"/>
      <c r="C46" s="5"/>
      <c r="D46" s="5"/>
      <c r="E46" s="5"/>
      <c r="F46" s="5"/>
      <c r="G46" s="5"/>
      <c r="H46" s="5"/>
      <c r="I46" s="5"/>
      <c r="J46" s="5"/>
      <c r="L46">
        <v>500</v>
      </c>
      <c r="M46">
        <v>1</v>
      </c>
      <c r="O46" s="43" t="b">
        <v>0</v>
      </c>
      <c r="P46" s="43" t="b">
        <v>1</v>
      </c>
    </row>
    <row r="47" spans="2:13" ht="12.75" hidden="1">
      <c r="B47" s="5"/>
      <c r="C47" s="5"/>
      <c r="D47" s="5"/>
      <c r="E47" s="5"/>
      <c r="F47" s="5"/>
      <c r="G47" s="5"/>
      <c r="H47" s="5"/>
      <c r="I47" s="5"/>
      <c r="J47" s="5"/>
      <c r="L47">
        <v>1000000000</v>
      </c>
      <c r="M47">
        <v>1</v>
      </c>
    </row>
    <row r="48" spans="2:10" ht="12.75" hidden="1">
      <c r="B48" s="5"/>
      <c r="C48" s="5"/>
      <c r="D48" s="5"/>
      <c r="E48" s="5"/>
      <c r="F48" s="5"/>
      <c r="G48" s="5"/>
      <c r="H48" s="5"/>
      <c r="I48" s="5"/>
      <c r="J48" s="5"/>
    </row>
    <row r="49" spans="2:10" ht="12.75" hidden="1">
      <c r="B49" s="5"/>
      <c r="C49" s="5"/>
      <c r="D49" s="5"/>
      <c r="E49" s="5"/>
      <c r="F49" s="5"/>
      <c r="G49" s="5"/>
      <c r="H49" s="5"/>
      <c r="I49" s="5"/>
      <c r="J49" s="5"/>
    </row>
    <row r="50" spans="2:10" ht="12.75" hidden="1">
      <c r="B50" s="5"/>
      <c r="C50" s="5"/>
      <c r="D50" s="5"/>
      <c r="E50" s="5"/>
      <c r="F50" s="5"/>
      <c r="G50" s="5"/>
      <c r="H50" s="5"/>
      <c r="I50" s="5"/>
      <c r="J50" s="5"/>
    </row>
    <row r="51" spans="2:10" ht="12.75" hidden="1">
      <c r="B51" s="5"/>
      <c r="C51" s="5"/>
      <c r="D51" s="5"/>
      <c r="E51" s="5"/>
      <c r="F51" s="5"/>
      <c r="G51" s="5"/>
      <c r="H51" s="5"/>
      <c r="I51" s="5"/>
      <c r="J51" s="5"/>
    </row>
    <row r="52" spans="2:10" ht="12.75" hidden="1">
      <c r="B52" s="5"/>
      <c r="C52" s="5"/>
      <c r="D52" s="5"/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1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1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1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1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1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1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1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1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1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5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5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5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5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5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5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5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5">
      <c r="B191" s="4"/>
      <c r="C191" s="4"/>
      <c r="D191" s="4"/>
      <c r="E191" s="4"/>
      <c r="F191" s="4"/>
      <c r="G191" s="4"/>
      <c r="H191" s="4"/>
      <c r="I191" s="4"/>
      <c r="J191" s="4"/>
    </row>
  </sheetData>
  <sheetProtection sheet="1" objects="1" scenarios="1"/>
  <mergeCells count="3">
    <mergeCell ref="G21:H21"/>
    <mergeCell ref="G45:H45"/>
    <mergeCell ref="G31:H3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Péguiron</cp:lastModifiedBy>
  <cp:lastPrinted>2004-03-15T20:58:06Z</cp:lastPrinted>
  <dcterms:created xsi:type="dcterms:W3CDTF">1999-04-18T22:42:44Z</dcterms:created>
  <dcterms:modified xsi:type="dcterms:W3CDTF">2006-03-21T21:44:54Z</dcterms:modified>
  <cp:category/>
  <cp:version/>
  <cp:contentType/>
  <cp:contentStatus/>
</cp:coreProperties>
</file>